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1 СКС\СКС-2305 Тахографы (ГПБ-2334)\ЗК СКС-2305 изм. от 01.12.2021г\"/>
    </mc:Choice>
  </mc:AlternateContent>
  <workbookProtection lockWindows="1"/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</externalReferences>
  <definedNames>
    <definedName name="_FilterDatabase_0" localSheetId="0">Обоснование!$A$17:$AD$29</definedName>
    <definedName name="_FilterDatabase_0_0" localSheetId="0">Обоснование!$A$17:$AD$29</definedName>
    <definedName name="_FilterDatabase_0_0_0" localSheetId="0">Обоснование!$A$17:$AD$29</definedName>
    <definedName name="_FilterDatabase_0_0_0_0" localSheetId="0">Обоснование!$A$17:$AD$29</definedName>
    <definedName name="_xlnm._FilterDatabase" localSheetId="0">Обоснование!$A$17:$AD$29</definedName>
    <definedName name="Print_Area_0" localSheetId="0">Обоснование!$A$1:$AD$51</definedName>
    <definedName name="Print_Area_0_0" localSheetId="0">Обоснование!$A$1:$AD$51</definedName>
    <definedName name="Print_Area_0_0_0" localSheetId="0">Обоснование!$A$1:$AD$51</definedName>
    <definedName name="Print_Area_0_0_0_0" localSheetId="0">Обоснование!$A$1:$AD$51</definedName>
    <definedName name="_xlnm.Print_Area" localSheetId="0">Обоснование!$A$1:$AD$51</definedName>
    <definedName name="подгруппа">#REF!</definedName>
    <definedName name="Список_предприятий">[1]Справочник!$C$2:$C$13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8" i="1" l="1"/>
  <c r="M28" i="1"/>
  <c r="L28" i="1"/>
  <c r="K28" i="1"/>
  <c r="N27" i="1"/>
  <c r="M27" i="1"/>
  <c r="L27" i="1"/>
  <c r="K27" i="1"/>
  <c r="N26" i="1"/>
  <c r="L26" i="1"/>
  <c r="K26" i="1"/>
  <c r="N25" i="1"/>
  <c r="L25" i="1"/>
  <c r="K25" i="1"/>
  <c r="N24" i="1"/>
  <c r="M24" i="1"/>
  <c r="M25" i="1" s="1"/>
  <c r="M26" i="1" s="1"/>
  <c r="L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N20" i="1"/>
  <c r="L20" i="1"/>
  <c r="K20" i="1"/>
  <c r="N19" i="1"/>
  <c r="M19" i="1"/>
  <c r="M20" i="1" s="1"/>
  <c r="L19" i="1"/>
  <c r="K19" i="1"/>
  <c r="AB19" i="1" s="1"/>
  <c r="N18" i="1"/>
  <c r="M18" i="1"/>
  <c r="L18" i="1"/>
  <c r="K18" i="1"/>
  <c r="AB18" i="1" s="1"/>
  <c r="AB21" i="1" l="1"/>
  <c r="AB22" i="1"/>
  <c r="AD22" i="1" s="1"/>
  <c r="AB23" i="1"/>
  <c r="AB24" i="1"/>
  <c r="AD24" i="1" s="1"/>
  <c r="AB27" i="1"/>
  <c r="AB28" i="1"/>
  <c r="AC28" i="1" s="1"/>
  <c r="AD21" i="1"/>
  <c r="AC21" i="1"/>
  <c r="AC22" i="1"/>
  <c r="AD23" i="1"/>
  <c r="AC23" i="1"/>
  <c r="AC24" i="1"/>
  <c r="AD27" i="1"/>
  <c r="AC27" i="1"/>
  <c r="AD18" i="1"/>
  <c r="AC18" i="1"/>
  <c r="AD19" i="1"/>
  <c r="AC19" i="1"/>
  <c r="AB25" i="1"/>
  <c r="AB20" i="1"/>
  <c r="AB26" i="1"/>
  <c r="AD28" i="1"/>
  <c r="AA27" i="1"/>
  <c r="AA28" i="1"/>
  <c r="AA18" i="1"/>
  <c r="AA19" i="1"/>
  <c r="AA20" i="1"/>
  <c r="AA21" i="1"/>
  <c r="AA22" i="1"/>
  <c r="AA23" i="1"/>
  <c r="AA24" i="1"/>
  <c r="AA25" i="1"/>
  <c r="AA26" i="1"/>
  <c r="AD26" i="1" l="1"/>
  <c r="AC26" i="1"/>
  <c r="AD25" i="1"/>
  <c r="AC25" i="1"/>
  <c r="AD20" i="1"/>
  <c r="AC20" i="1"/>
  <c r="AC29" i="1" s="1"/>
</calcChain>
</file>

<file path=xl/sharedStrings.xml><?xml version="1.0" encoding="utf-8"?>
<sst xmlns="http://schemas.openxmlformats.org/spreadsheetml/2006/main" count="104" uniqueCount="91">
  <si>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</si>
  <si>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</si>
  <si>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</si>
  <si>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</si>
  <si>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</si>
  <si>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</si>
  <si>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</si>
  <si>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</si>
  <si>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</si>
  <si>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</si>
  <si>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Поставка и установка тахографов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</si>
  <si>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</si>
  <si>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</si>
  <si>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</si>
  <si>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</si>
  <si>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</si>
  <si>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</si>
  <si>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</si>
  <si>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</si>
  <si>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</si>
  <si>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</si>
  <si>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</si>
  <si>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</si>
  <si>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</si>
  <si>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</si>
  <si>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</si>
  <si>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</si>
  <si>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</si>
  <si>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</si>
  <si>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</si>
  <si>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</si>
  <si>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</si>
  <si>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</si>
  <si>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</si>
  <si>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</si>
  <si>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</si>
  <si>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</si>
  <si>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</si>
  <si>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</si>
  <si>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</si>
  <si>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</si>
  <si>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</si>
  <si>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</si>
  <si>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</si>
  <si>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</si>
  <si>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</si>
  <si>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</si>
  <si>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</si>
  <si>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</si>
  <si>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</si>
  <si>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</si>
  <si>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</si>
  <si>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</si>
  <si>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</si>
  <si>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</si>
  <si>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</si>
  <si>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</si>
  <si>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</si>
  <si>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</si>
  <si>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</si>
  <si>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</si>
  <si>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-Тахограф активация</t>
  </si>
  <si>
    <t>Шт.</t>
  </si>
  <si>
    <t>-Тахограф калибровка</t>
  </si>
  <si>
    <t>-Тахограф установка</t>
  </si>
  <si>
    <t>-Короб пласт для установки</t>
  </si>
  <si>
    <t>-Установочный комплект</t>
  </si>
  <si>
    <t>-Карта водителя</t>
  </si>
  <si>
    <t>-Карта предприятия</t>
  </si>
  <si>
    <t>-При отсут.электр.спидометра,стоимость увел. на стоимость спидометра</t>
  </si>
  <si>
    <t>-Жгут датчика скорости</t>
  </si>
  <si>
    <t>-Датчик скорости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</si>
  <si>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</si>
  <si>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</si>
  <si>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</si>
  <si>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</si>
  <si>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</si>
  <si>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</si>
  <si>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Начальник АТЦ</t>
  </si>
  <si>
    <t>Иванов П.В.</t>
  </si>
  <si>
    <t>дата</t>
  </si>
  <si>
    <t>ФИО, 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</si>
  <si>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</si>
  <si>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</si>
  <si>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</si>
  <si>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</si>
  <si>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</si>
  <si>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</si>
  <si>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</si>
  <si>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</si>
  <si>
    <t xml:space="preserve"> - Тахограф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</si>
</sst>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,"/>
  </numFmts>
  <fonts count="14" x14ac:knownFonts="1">
    <font>
      <sz val="10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6" fontId="13" fillId="0" borderId="0" applyBorder="0" applyProtection="0"/>
    <xf numFmtId="0" fontId="12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/>
    </xf>
    <xf numFmtId="0" fontId="11" fillId="0" borderId="1" xfId="2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/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4" fontId="11" fillId="4" borderId="5" xfId="0" applyNumberFormat="1" applyFont="1" applyFill="1" applyBorder="1"/>
    <xf numFmtId="0" fontId="1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/>
    </xf>
    <xf numFmtId="14" fontId="11" fillId="0" borderId="7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3">
    <cellStyle name="Обычный" xfId="0" builtinId="0"/>
    <cellStyle name="Пояснение" xfId="2" builtinId="53" customBuiltin="1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29</xdr:row>
      <xdr:rowOff>117000</xdr:rowOff>
    </xdr:from>
    <xdr:to>
      <xdr:col>29</xdr:col>
      <xdr:colOff>1800</xdr:colOff>
      <xdr:row>29</xdr:row>
      <xdr:rowOff>117360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509720" y="7252920"/>
          <a:ext cx="7887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76680</xdr:rowOff>
    </xdr:from>
    <xdr:to>
      <xdr:col>29</xdr:col>
      <xdr:colOff>1800</xdr:colOff>
      <xdr:row>55</xdr:row>
      <xdr:rowOff>77040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509720" y="11619000"/>
          <a:ext cx="7887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77040</xdr:rowOff>
    </xdr:from>
    <xdr:to>
      <xdr:col>29</xdr:col>
      <xdr:colOff>1800</xdr:colOff>
      <xdr:row>56</xdr:row>
      <xdr:rowOff>77400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509720" y="11781720"/>
          <a:ext cx="7887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54</xdr:row>
      <xdr:rowOff>77040</xdr:rowOff>
    </xdr:from>
    <xdr:to>
      <xdr:col>29</xdr:col>
      <xdr:colOff>1800</xdr:colOff>
      <xdr:row>54</xdr:row>
      <xdr:rowOff>77400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509720" y="11456640"/>
          <a:ext cx="78876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4;&#1050;/&#1054;&#1054;&#1050;%202021%20&#1057;&#1050;&#1057;/&#1057;&#1050;&#1057;-2305%20&#1058;&#1072;&#1093;&#1086;&#1075;&#1088;&#1072;&#1092;&#1099;%20(&#1043;&#1055;&#1041;-2334)/&#1047;&#1050;%20&#1057;&#1050;&#1057;-2305/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9"/>
  <sheetViews>
    <sheetView windowProtection="1" tabSelected="1" zoomScaleNormal="100" workbookViewId="0">
      <pane xSplit="3" topLeftCell="D1" activePane="topRight" state="frozen"/>
      <selection activeCell="A13" sqref="A13"/>
      <selection pane="topRight" activeCell="AG11" sqref="AG11"/>
    </sheetView>
  </sheetViews>
  <sheetFormatPr defaultRowHeight="12.75" x14ac:dyDescent="0.2"/>
  <cols>
    <col min="1" max="1" width="3.7109375" style="1"/>
    <col min="2" max="2" width="11.85546875" style="1"/>
    <col min="3" max="3" width="36.28515625" style="1"/>
    <col min="4" max="4" width="7.5703125" style="1"/>
    <col min="5" max="5" width="8.7109375" style="1"/>
    <col min="6" max="8" width="10.140625" style="1"/>
    <col min="9" max="9" width="12.42578125" style="1"/>
    <col min="10" max="10" width="13.28515625" style="1"/>
    <col min="11" max="11" width="12.7109375" style="1"/>
    <col min="12" max="14" width="10.140625" style="1"/>
    <col min="15" max="26" width="0" style="1" hidden="1"/>
    <col min="27" max="27" width="10.85546875" style="1"/>
    <col min="28" max="28" width="12.28515625" style="1"/>
    <col min="29" max="29" width="12.140625" style="1"/>
    <col min="30" max="30" width="13.140625" style="1"/>
    <col min="31" max="1025" width="8" style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1" t="s">
        <v>2</v>
      </c>
    </row>
    <row r="4" spans="1:30" ht="15.75" x14ac:dyDescent="0.25"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</row>
    <row r="5" spans="1:30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2.75" customHeight="1" x14ac:dyDescent="0.2">
      <c r="C6" s="6" t="s">
        <v>4</v>
      </c>
      <c r="D6" s="50" t="s">
        <v>5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</row>
    <row r="7" spans="1:30" s="5" customFormat="1" x14ac:dyDescent="0.2">
      <c r="C7" s="6" t="s">
        <v>6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</row>
    <row r="8" spans="1:30" s="5" customFormat="1" x14ac:dyDescent="0.2">
      <c r="C8" s="6" t="s">
        <v>7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</row>
    <row r="9" spans="1:30" s="5" customFormat="1" x14ac:dyDescent="0.2">
      <c r="C9" s="6" t="s">
        <v>8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</row>
    <row r="10" spans="1:30" s="5" customFormat="1" ht="12.75" customHeight="1" x14ac:dyDescent="0.2">
      <c r="C10" s="6" t="s">
        <v>9</v>
      </c>
      <c r="D10" s="50" t="s">
        <v>10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</row>
    <row r="11" spans="1:30" s="5" customFormat="1" ht="25.5" customHeight="1" x14ac:dyDescent="0.2">
      <c r="C11" s="6" t="s">
        <v>11</v>
      </c>
      <c r="D11" s="50" t="s">
        <v>12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</row>
    <row r="12" spans="1:30" s="5" customFormat="1" ht="38.25" customHeight="1" x14ac:dyDescent="0.2">
      <c r="C12" s="6" t="s">
        <v>13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</row>
    <row r="14" spans="1:30" ht="51.2" customHeight="1" x14ac:dyDescent="0.2">
      <c r="A14" s="51" t="s">
        <v>14</v>
      </c>
      <c r="B14" s="51" t="s">
        <v>15</v>
      </c>
      <c r="C14" s="51" t="s">
        <v>16</v>
      </c>
      <c r="D14" s="51" t="s">
        <v>17</v>
      </c>
      <c r="E14" s="51" t="s">
        <v>18</v>
      </c>
      <c r="F14" s="51" t="s">
        <v>19</v>
      </c>
      <c r="G14" s="51"/>
      <c r="H14" s="51"/>
      <c r="I14" s="51"/>
      <c r="J14" s="52" t="s">
        <v>20</v>
      </c>
      <c r="K14" s="51" t="s">
        <v>21</v>
      </c>
      <c r="L14" s="53" t="s">
        <v>22</v>
      </c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4" t="s">
        <v>23</v>
      </c>
      <c r="AB14" s="55" t="s">
        <v>24</v>
      </c>
      <c r="AC14" s="51" t="s">
        <v>25</v>
      </c>
      <c r="AD14" s="56" t="s">
        <v>26</v>
      </c>
    </row>
    <row r="15" spans="1:30" ht="25.5" customHeight="1" x14ac:dyDescent="0.2">
      <c r="A15" s="51"/>
      <c r="B15" s="51"/>
      <c r="C15" s="51"/>
      <c r="D15" s="51"/>
      <c r="E15" s="51"/>
      <c r="F15" s="51" t="s">
        <v>27</v>
      </c>
      <c r="G15" s="51" t="s">
        <v>28</v>
      </c>
      <c r="H15" s="51" t="s">
        <v>29</v>
      </c>
      <c r="I15" s="51" t="s">
        <v>30</v>
      </c>
      <c r="J15" s="52"/>
      <c r="K15" s="52"/>
      <c r="L15" s="57" t="s">
        <v>31</v>
      </c>
      <c r="M15" s="57"/>
      <c r="N15" s="57"/>
      <c r="O15" s="57"/>
      <c r="P15" s="57"/>
      <c r="Q15" s="57" t="s">
        <v>32</v>
      </c>
      <c r="R15" s="57"/>
      <c r="S15" s="57"/>
      <c r="T15" s="57"/>
      <c r="U15" s="57"/>
      <c r="V15" s="51" t="s">
        <v>33</v>
      </c>
      <c r="W15" s="51"/>
      <c r="X15" s="51"/>
      <c r="Y15" s="51"/>
      <c r="Z15" s="51"/>
      <c r="AA15" s="54"/>
      <c r="AB15" s="55"/>
      <c r="AC15" s="55"/>
      <c r="AD15" s="56"/>
    </row>
    <row r="16" spans="1:30" ht="80.25" customHeight="1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2"/>
      <c r="K16" s="52"/>
      <c r="L16" s="8" t="s">
        <v>87</v>
      </c>
      <c r="M16" s="8" t="s">
        <v>88</v>
      </c>
      <c r="N16" s="8" t="s">
        <v>89</v>
      </c>
      <c r="O16" s="7" t="s">
        <v>34</v>
      </c>
      <c r="P16" s="7" t="s">
        <v>35</v>
      </c>
      <c r="Q16" s="7" t="s">
        <v>36</v>
      </c>
      <c r="R16" s="7" t="s">
        <v>37</v>
      </c>
      <c r="S16" s="7" t="s">
        <v>38</v>
      </c>
      <c r="T16" s="7" t="s">
        <v>39</v>
      </c>
      <c r="U16" s="7" t="s">
        <v>40</v>
      </c>
      <c r="V16" s="7" t="s">
        <v>41</v>
      </c>
      <c r="W16" s="7" t="s">
        <v>42</v>
      </c>
      <c r="X16" s="7" t="s">
        <v>43</v>
      </c>
      <c r="Y16" s="7" t="s">
        <v>44</v>
      </c>
      <c r="Z16" s="7" t="s">
        <v>45</v>
      </c>
      <c r="AA16" s="54"/>
      <c r="AB16" s="55"/>
      <c r="AC16" s="55"/>
      <c r="AD16" s="56"/>
    </row>
    <row r="17" spans="1:30" s="13" customFormat="1" x14ac:dyDescent="0.2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46</v>
      </c>
      <c r="M17" s="9" t="s">
        <v>47</v>
      </c>
      <c r="N17" s="9" t="s">
        <v>48</v>
      </c>
      <c r="O17" s="9" t="s">
        <v>49</v>
      </c>
      <c r="P17" s="9" t="s">
        <v>50</v>
      </c>
      <c r="Q17" s="9" t="s">
        <v>51</v>
      </c>
      <c r="R17" s="9" t="s">
        <v>52</v>
      </c>
      <c r="S17" s="9" t="s">
        <v>53</v>
      </c>
      <c r="T17" s="9" t="s">
        <v>54</v>
      </c>
      <c r="U17" s="9" t="s">
        <v>55</v>
      </c>
      <c r="V17" s="9" t="s">
        <v>56</v>
      </c>
      <c r="W17" s="9" t="s">
        <v>57</v>
      </c>
      <c r="X17" s="9" t="s">
        <v>58</v>
      </c>
      <c r="Y17" s="9" t="s">
        <v>59</v>
      </c>
      <c r="Z17" s="9" t="s">
        <v>60</v>
      </c>
      <c r="AA17" s="12">
        <v>13</v>
      </c>
      <c r="AB17" s="12">
        <v>14</v>
      </c>
      <c r="AC17" s="12">
        <v>15</v>
      </c>
      <c r="AD17" s="12">
        <v>16</v>
      </c>
    </row>
    <row r="18" spans="1:30" x14ac:dyDescent="0.2">
      <c r="A18" s="14">
        <v>1</v>
      </c>
      <c r="B18" s="15"/>
      <c r="C18" s="16" t="s">
        <v>61</v>
      </c>
      <c r="D18" s="17" t="s">
        <v>62</v>
      </c>
      <c r="E18" s="18">
        <v>30</v>
      </c>
      <c r="F18" s="19"/>
      <c r="G18" s="20"/>
      <c r="H18" s="21"/>
      <c r="I18" s="21"/>
      <c r="J18" s="22"/>
      <c r="K18" s="20" t="str">
        <f t="shared" ref="K18:K28" si="0">IF(SUM(F18)=0,"",F18*J18)</f>
        <v/>
      </c>
      <c r="L18" s="23">
        <f>50000/30</f>
        <v>1666.6666666666667</v>
      </c>
      <c r="M18" s="23">
        <f>2000/1.2</f>
        <v>1666.6666666666667</v>
      </c>
      <c r="N18" s="23">
        <f>62500/30</f>
        <v>2083.3333333333335</v>
      </c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5">
        <f t="shared" ref="AA18:AA28" si="1">COUNTIF(K18:Z18,"&gt;0")</f>
        <v>3</v>
      </c>
      <c r="AB18" s="26">
        <f t="shared" ref="AB18:AB28" si="2">CEILING(SUM(K18:Z18)/COUNTIF(K18:Z18,"&gt;0"),0.01)</f>
        <v>1805.56</v>
      </c>
      <c r="AC18" s="26">
        <f t="shared" ref="AC18:AC28" si="3">AB18*E18</f>
        <v>54166.799999999996</v>
      </c>
      <c r="AD18" s="27">
        <f t="shared" ref="AD18:AD28" si="4">STDEV(K18:Z18)/AB18*100</f>
        <v>13.323434954382243</v>
      </c>
    </row>
    <row r="19" spans="1:30" x14ac:dyDescent="0.2">
      <c r="A19" s="14">
        <v>2</v>
      </c>
      <c r="B19" s="15"/>
      <c r="C19" s="16" t="s">
        <v>63</v>
      </c>
      <c r="D19" s="17" t="s">
        <v>62</v>
      </c>
      <c r="E19" s="18">
        <v>30</v>
      </c>
      <c r="F19" s="19"/>
      <c r="G19" s="20"/>
      <c r="H19" s="21"/>
      <c r="I19" s="21"/>
      <c r="J19" s="22"/>
      <c r="K19" s="20" t="str">
        <f t="shared" si="0"/>
        <v/>
      </c>
      <c r="L19" s="23">
        <f>50000/30</f>
        <v>1666.6666666666667</v>
      </c>
      <c r="M19" s="23">
        <f>3000/1.2</f>
        <v>2500</v>
      </c>
      <c r="N19" s="23">
        <f>75000/30</f>
        <v>2500</v>
      </c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5">
        <f t="shared" si="1"/>
        <v>3</v>
      </c>
      <c r="AB19" s="26">
        <f t="shared" si="2"/>
        <v>2222.23</v>
      </c>
      <c r="AC19" s="26">
        <f t="shared" si="3"/>
        <v>66666.899999999994</v>
      </c>
      <c r="AD19" s="27">
        <f t="shared" si="4"/>
        <v>21.650559317653347</v>
      </c>
    </row>
    <row r="20" spans="1:30" x14ac:dyDescent="0.2">
      <c r="A20" s="14">
        <v>3</v>
      </c>
      <c r="B20" s="15"/>
      <c r="C20" s="16" t="s">
        <v>64</v>
      </c>
      <c r="D20" s="17" t="s">
        <v>62</v>
      </c>
      <c r="E20" s="18">
        <v>30</v>
      </c>
      <c r="F20" s="19"/>
      <c r="G20" s="20"/>
      <c r="H20" s="21"/>
      <c r="I20" s="21"/>
      <c r="J20" s="22"/>
      <c r="K20" s="20" t="str">
        <f t="shared" si="0"/>
        <v/>
      </c>
      <c r="L20" s="23">
        <f>125000/30</f>
        <v>4166.666666666667</v>
      </c>
      <c r="M20" s="23">
        <f>M19</f>
        <v>2500</v>
      </c>
      <c r="N20" s="23">
        <f>137500/30</f>
        <v>4583.333333333333</v>
      </c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5">
        <f t="shared" si="1"/>
        <v>3</v>
      </c>
      <c r="AB20" s="26">
        <f t="shared" si="2"/>
        <v>3750</v>
      </c>
      <c r="AC20" s="26">
        <f t="shared" si="3"/>
        <v>112500</v>
      </c>
      <c r="AD20" s="27">
        <f t="shared" si="4"/>
        <v>29.397236789606541</v>
      </c>
    </row>
    <row r="21" spans="1:30" x14ac:dyDescent="0.2">
      <c r="A21" s="14">
        <v>4</v>
      </c>
      <c r="B21" s="15"/>
      <c r="C21" s="16" t="s">
        <v>90</v>
      </c>
      <c r="D21" s="17" t="s">
        <v>62</v>
      </c>
      <c r="E21" s="18">
        <v>30</v>
      </c>
      <c r="F21" s="19"/>
      <c r="G21" s="20"/>
      <c r="H21" s="21"/>
      <c r="I21" s="21"/>
      <c r="J21" s="22"/>
      <c r="K21" s="20" t="str">
        <f t="shared" si="0"/>
        <v/>
      </c>
      <c r="L21" s="23">
        <f>737500/30</f>
        <v>24583.333333333332</v>
      </c>
      <c r="M21" s="23">
        <f>34500/1.2</f>
        <v>28750</v>
      </c>
      <c r="N21" s="23">
        <f>775000/30</f>
        <v>25833.333333333332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5">
        <f t="shared" si="1"/>
        <v>3</v>
      </c>
      <c r="AB21" s="26">
        <f t="shared" si="2"/>
        <v>26388.89</v>
      </c>
      <c r="AC21" s="26">
        <f t="shared" si="3"/>
        <v>791666.7</v>
      </c>
      <c r="AD21" s="27">
        <f t="shared" si="4"/>
        <v>8.1025282474412617</v>
      </c>
    </row>
    <row r="22" spans="1:30" x14ac:dyDescent="0.2">
      <c r="A22" s="14">
        <v>5</v>
      </c>
      <c r="B22" s="15"/>
      <c r="C22" s="16" t="s">
        <v>65</v>
      </c>
      <c r="D22" s="17" t="s">
        <v>62</v>
      </c>
      <c r="E22" s="18">
        <v>30</v>
      </c>
      <c r="F22" s="19"/>
      <c r="G22" s="20"/>
      <c r="H22" s="21"/>
      <c r="I22" s="21"/>
      <c r="J22" s="22"/>
      <c r="K22" s="20" t="str">
        <f t="shared" si="0"/>
        <v/>
      </c>
      <c r="L22" s="23">
        <f>12941.25/30</f>
        <v>431.375</v>
      </c>
      <c r="M22" s="23">
        <f>500/1.2</f>
        <v>416.66666666666669</v>
      </c>
      <c r="N22" s="23">
        <f>15000/30</f>
        <v>500</v>
      </c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5">
        <f t="shared" si="1"/>
        <v>3</v>
      </c>
      <c r="AB22" s="26">
        <f t="shared" si="2"/>
        <v>449.35</v>
      </c>
      <c r="AC22" s="26">
        <f t="shared" si="3"/>
        <v>13480.5</v>
      </c>
      <c r="AD22" s="27">
        <f t="shared" si="4"/>
        <v>9.8984706734704417</v>
      </c>
    </row>
    <row r="23" spans="1:30" x14ac:dyDescent="0.2">
      <c r="A23" s="14">
        <v>6</v>
      </c>
      <c r="B23" s="15"/>
      <c r="C23" s="16" t="s">
        <v>66</v>
      </c>
      <c r="D23" s="17" t="s">
        <v>62</v>
      </c>
      <c r="E23" s="18">
        <v>30</v>
      </c>
      <c r="F23" s="19"/>
      <c r="G23" s="20"/>
      <c r="H23" s="21"/>
      <c r="I23" s="21"/>
      <c r="J23" s="22"/>
      <c r="K23" s="20" t="str">
        <f t="shared" si="0"/>
        <v/>
      </c>
      <c r="L23" s="23">
        <f>29250/30</f>
        <v>975</v>
      </c>
      <c r="M23" s="23">
        <f>1000/1.2</f>
        <v>833.33333333333337</v>
      </c>
      <c r="N23" s="23">
        <f>37500/30</f>
        <v>1250</v>
      </c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5">
        <f t="shared" si="1"/>
        <v>3</v>
      </c>
      <c r="AB23" s="26">
        <f t="shared" si="2"/>
        <v>1019.45</v>
      </c>
      <c r="AC23" s="26">
        <f t="shared" si="3"/>
        <v>30583.5</v>
      </c>
      <c r="AD23" s="27">
        <f t="shared" si="4"/>
        <v>20.781701424698891</v>
      </c>
    </row>
    <row r="24" spans="1:30" x14ac:dyDescent="0.2">
      <c r="A24" s="14">
        <v>7</v>
      </c>
      <c r="B24" s="15"/>
      <c r="C24" s="16" t="s">
        <v>67</v>
      </c>
      <c r="D24" s="17" t="s">
        <v>62</v>
      </c>
      <c r="E24" s="18">
        <v>30</v>
      </c>
      <c r="F24" s="19"/>
      <c r="G24" s="20"/>
      <c r="H24" s="21"/>
      <c r="I24" s="21"/>
      <c r="J24" s="22"/>
      <c r="K24" s="20" t="str">
        <f t="shared" si="0"/>
        <v/>
      </c>
      <c r="L24" s="23">
        <f>97500/30</f>
        <v>3250</v>
      </c>
      <c r="M24" s="23">
        <f>3800/1.2</f>
        <v>3166.666666666667</v>
      </c>
      <c r="N24" s="23">
        <f>97500/30</f>
        <v>3250</v>
      </c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5">
        <f t="shared" si="1"/>
        <v>3</v>
      </c>
      <c r="AB24" s="26">
        <f t="shared" si="2"/>
        <v>3222.23</v>
      </c>
      <c r="AC24" s="26">
        <f t="shared" si="3"/>
        <v>96666.9</v>
      </c>
      <c r="AD24" s="27">
        <f t="shared" si="4"/>
        <v>1.4931436437643693</v>
      </c>
    </row>
    <row r="25" spans="1:30" x14ac:dyDescent="0.2">
      <c r="A25" s="14">
        <v>8</v>
      </c>
      <c r="B25" s="15"/>
      <c r="C25" s="16" t="s">
        <v>68</v>
      </c>
      <c r="D25" s="17" t="s">
        <v>62</v>
      </c>
      <c r="E25" s="18">
        <v>1</v>
      </c>
      <c r="F25" s="19"/>
      <c r="G25" s="20"/>
      <c r="H25" s="21"/>
      <c r="I25" s="21"/>
      <c r="J25" s="22"/>
      <c r="K25" s="20" t="str">
        <f t="shared" si="0"/>
        <v/>
      </c>
      <c r="L25" s="28">
        <f>3250</f>
        <v>3250</v>
      </c>
      <c r="M25" s="28">
        <f>M24</f>
        <v>3166.666666666667</v>
      </c>
      <c r="N25" s="28">
        <f>3750</f>
        <v>3750</v>
      </c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5">
        <f t="shared" si="1"/>
        <v>3</v>
      </c>
      <c r="AB25" s="26">
        <f t="shared" si="2"/>
        <v>3388.89</v>
      </c>
      <c r="AC25" s="26">
        <f t="shared" si="3"/>
        <v>3388.89</v>
      </c>
      <c r="AD25" s="27">
        <f t="shared" si="4"/>
        <v>9.3096827604323273</v>
      </c>
    </row>
    <row r="26" spans="1:30" ht="25.5" x14ac:dyDescent="0.2">
      <c r="A26" s="14">
        <v>9</v>
      </c>
      <c r="B26" s="15"/>
      <c r="C26" s="29" t="s">
        <v>69</v>
      </c>
      <c r="D26" s="17" t="s">
        <v>62</v>
      </c>
      <c r="E26" s="18">
        <v>30</v>
      </c>
      <c r="F26" s="19"/>
      <c r="G26" s="20"/>
      <c r="H26" s="21"/>
      <c r="I26" s="21"/>
      <c r="J26" s="22"/>
      <c r="K26" s="20" t="str">
        <f t="shared" si="0"/>
        <v/>
      </c>
      <c r="L26" s="23">
        <f>95285/30</f>
        <v>3176.1666666666665</v>
      </c>
      <c r="M26" s="23">
        <f>M25</f>
        <v>3166.666666666667</v>
      </c>
      <c r="N26" s="23">
        <f>97500/30</f>
        <v>3250</v>
      </c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5">
        <f t="shared" si="1"/>
        <v>3</v>
      </c>
      <c r="AB26" s="26">
        <f t="shared" si="2"/>
        <v>3197.62</v>
      </c>
      <c r="AC26" s="26">
        <f t="shared" si="3"/>
        <v>95928.599999999991</v>
      </c>
      <c r="AD26" s="27">
        <f t="shared" si="4"/>
        <v>1.4266260655946321</v>
      </c>
    </row>
    <row r="27" spans="1:30" x14ac:dyDescent="0.2">
      <c r="A27" s="14">
        <v>10</v>
      </c>
      <c r="B27" s="15"/>
      <c r="C27" s="16" t="s">
        <v>70</v>
      </c>
      <c r="D27" s="17" t="s">
        <v>62</v>
      </c>
      <c r="E27" s="18">
        <v>30</v>
      </c>
      <c r="F27" s="19"/>
      <c r="G27" s="20"/>
      <c r="H27" s="21"/>
      <c r="I27" s="21"/>
      <c r="J27" s="22"/>
      <c r="K27" s="20" t="str">
        <f t="shared" si="0"/>
        <v/>
      </c>
      <c r="L27" s="23">
        <f>45312.5/30</f>
        <v>1510.4166666666667</v>
      </c>
      <c r="M27" s="23">
        <f>1000/1.2</f>
        <v>833.33333333333337</v>
      </c>
      <c r="N27" s="23">
        <f>50000/30</f>
        <v>1666.6666666666667</v>
      </c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5">
        <f t="shared" si="1"/>
        <v>3</v>
      </c>
      <c r="AB27" s="26">
        <f t="shared" si="2"/>
        <v>1336.81</v>
      </c>
      <c r="AC27" s="26">
        <f t="shared" si="3"/>
        <v>40104.299999999996</v>
      </c>
      <c r="AD27" s="27">
        <f t="shared" si="4"/>
        <v>33.135865995492452</v>
      </c>
    </row>
    <row r="28" spans="1:30" x14ac:dyDescent="0.2">
      <c r="A28" s="14">
        <v>11</v>
      </c>
      <c r="B28" s="15"/>
      <c r="C28" s="16" t="s">
        <v>71</v>
      </c>
      <c r="D28" s="17" t="s">
        <v>62</v>
      </c>
      <c r="E28" s="18">
        <v>30</v>
      </c>
      <c r="F28" s="19"/>
      <c r="G28" s="20"/>
      <c r="H28" s="21"/>
      <c r="I28" s="21"/>
      <c r="J28" s="22"/>
      <c r="K28" s="20" t="str">
        <f t="shared" si="0"/>
        <v/>
      </c>
      <c r="L28" s="23">
        <f>48770.25/30</f>
        <v>1625.675</v>
      </c>
      <c r="M28" s="23">
        <f>2000/1.2</f>
        <v>1666.6666666666667</v>
      </c>
      <c r="N28" s="23">
        <f>52500/30</f>
        <v>1750</v>
      </c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5">
        <f t="shared" si="1"/>
        <v>3</v>
      </c>
      <c r="AB28" s="26">
        <f t="shared" si="2"/>
        <v>1680.79</v>
      </c>
      <c r="AC28" s="26">
        <f t="shared" si="3"/>
        <v>50423.7</v>
      </c>
      <c r="AD28" s="27">
        <f t="shared" si="4"/>
        <v>3.7692278159246415</v>
      </c>
    </row>
    <row r="29" spans="1:30" ht="24.2" customHeight="1" x14ac:dyDescent="0.2">
      <c r="A29" s="30"/>
      <c r="B29" s="31"/>
      <c r="C29" s="58" t="s">
        <v>72</v>
      </c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3"/>
      <c r="AC29" s="33">
        <f>SUM(AC18:AC28)</f>
        <v>1355576.7899999998</v>
      </c>
      <c r="AD29" s="34"/>
    </row>
    <row r="30" spans="1:30" x14ac:dyDescent="0.2"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6"/>
    </row>
    <row r="31" spans="1:30" s="37" customFormat="1" x14ac:dyDescent="0.2">
      <c r="C31" s="37" t="s">
        <v>73</v>
      </c>
    </row>
    <row r="32" spans="1:30" x14ac:dyDescent="0.2">
      <c r="A32" s="37"/>
      <c r="B32" s="37"/>
      <c r="C32" s="38" t="s">
        <v>74</v>
      </c>
    </row>
    <row r="33" spans="1:29" x14ac:dyDescent="0.2">
      <c r="A33" s="37"/>
      <c r="B33" s="37"/>
      <c r="C33" s="38" t="s">
        <v>75</v>
      </c>
    </row>
    <row r="34" spans="1:29" x14ac:dyDescent="0.2">
      <c r="A34" s="37"/>
      <c r="B34" s="37"/>
      <c r="C34" s="38" t="s">
        <v>76</v>
      </c>
    </row>
    <row r="35" spans="1:29" x14ac:dyDescent="0.2">
      <c r="L35" s="39"/>
    </row>
    <row r="36" spans="1:29" s="40" customFormat="1" ht="15.75" x14ac:dyDescent="0.25">
      <c r="C36" s="41" t="s">
        <v>77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9" ht="15.75" x14ac:dyDescent="0.25">
      <c r="A37" s="40"/>
      <c r="B37" s="40"/>
    </row>
    <row r="38" spans="1:29" ht="15.75" x14ac:dyDescent="0.25">
      <c r="A38" s="40"/>
      <c r="B38" s="40"/>
      <c r="C38" s="42"/>
      <c r="D38" s="43"/>
      <c r="E38" s="43"/>
      <c r="F38" s="59" t="s">
        <v>78</v>
      </c>
      <c r="G38" s="59"/>
      <c r="H38" s="59"/>
      <c r="I38" s="59"/>
      <c r="J38" s="59"/>
      <c r="K38" s="44"/>
      <c r="L38" s="60" t="s">
        <v>79</v>
      </c>
      <c r="M38" s="60"/>
      <c r="N38" s="60"/>
      <c r="O38" s="60"/>
      <c r="P38" s="60"/>
      <c r="Q38" s="60"/>
      <c r="R38" s="60"/>
      <c r="V38" s="43"/>
      <c r="W38" s="43"/>
      <c r="X38" s="43"/>
      <c r="Y38" s="43"/>
      <c r="Z38" s="43"/>
      <c r="AA38" s="43"/>
      <c r="AB38" s="43"/>
      <c r="AC38" s="45"/>
    </row>
    <row r="39" spans="1:29" ht="15.75" x14ac:dyDescent="0.25">
      <c r="A39" s="40"/>
      <c r="B39" s="40"/>
      <c r="C39" s="46" t="s">
        <v>80</v>
      </c>
      <c r="D39" s="43"/>
      <c r="E39" s="43"/>
      <c r="F39" s="61" t="s">
        <v>81</v>
      </c>
      <c r="G39" s="61"/>
      <c r="H39" s="61"/>
      <c r="I39" s="61"/>
      <c r="J39" s="61"/>
      <c r="L39" s="62" t="s">
        <v>82</v>
      </c>
      <c r="M39" s="62"/>
      <c r="N39" s="62"/>
      <c r="O39" s="47"/>
      <c r="P39" s="47"/>
      <c r="V39" s="43"/>
      <c r="W39" s="43"/>
      <c r="X39" s="43"/>
      <c r="Y39" s="43"/>
      <c r="Z39" s="43"/>
      <c r="AA39" s="43"/>
      <c r="AB39" s="43"/>
    </row>
    <row r="40" spans="1:29" x14ac:dyDescent="0.2">
      <c r="C40" s="48"/>
      <c r="V40" s="44"/>
      <c r="W40" s="44"/>
      <c r="X40" s="44"/>
      <c r="Y40" s="44"/>
      <c r="Z40" s="44"/>
      <c r="AA40" s="44"/>
      <c r="AB40" s="44"/>
    </row>
    <row r="41" spans="1:29" x14ac:dyDescent="0.2">
      <c r="C41" s="41" t="s">
        <v>83</v>
      </c>
      <c r="V41" s="44"/>
      <c r="W41" s="44"/>
      <c r="X41" s="44"/>
      <c r="Y41" s="44"/>
      <c r="Z41" s="44"/>
      <c r="AA41" s="44"/>
      <c r="AB41" s="44"/>
    </row>
    <row r="42" spans="1:29" x14ac:dyDescent="0.2">
      <c r="V42" s="44"/>
      <c r="W42" s="44"/>
      <c r="X42" s="44"/>
      <c r="Y42" s="44"/>
      <c r="Z42" s="44"/>
      <c r="AA42" s="44"/>
      <c r="AB42" s="44"/>
    </row>
    <row r="43" spans="1:29" x14ac:dyDescent="0.2">
      <c r="C43" s="42"/>
      <c r="D43" s="43"/>
      <c r="E43" s="43"/>
      <c r="F43" s="59" t="s">
        <v>84</v>
      </c>
      <c r="G43" s="59"/>
      <c r="H43" s="59"/>
      <c r="I43" s="59"/>
      <c r="J43" s="59"/>
      <c r="K43" s="44"/>
      <c r="L43" s="60" t="s">
        <v>85</v>
      </c>
      <c r="M43" s="60"/>
      <c r="N43" s="60"/>
      <c r="O43" s="60"/>
      <c r="P43" s="60"/>
      <c r="Q43" s="60"/>
      <c r="R43" s="60"/>
      <c r="V43" s="43"/>
      <c r="W43" s="43"/>
      <c r="X43" s="43"/>
      <c r="Y43" s="43"/>
      <c r="Z43" s="43"/>
      <c r="AA43" s="43"/>
      <c r="AB43" s="43"/>
    </row>
    <row r="44" spans="1:29" x14ac:dyDescent="0.2">
      <c r="C44" s="46" t="s">
        <v>80</v>
      </c>
      <c r="D44" s="43"/>
      <c r="E44" s="43"/>
      <c r="F44" s="61" t="s">
        <v>81</v>
      </c>
      <c r="G44" s="61"/>
      <c r="H44" s="61"/>
      <c r="I44" s="61"/>
      <c r="J44" s="61"/>
      <c r="L44" s="62" t="s">
        <v>82</v>
      </c>
      <c r="M44" s="62"/>
      <c r="N44" s="62"/>
      <c r="O44" s="47"/>
      <c r="P44" s="47"/>
      <c r="V44" s="43"/>
      <c r="W44" s="43"/>
      <c r="X44" s="43"/>
      <c r="Y44" s="43"/>
      <c r="Z44" s="43"/>
      <c r="AA44" s="43"/>
      <c r="AB44" s="43"/>
    </row>
    <row r="47" spans="1:29" x14ac:dyDescent="0.2">
      <c r="C47" s="41" t="s">
        <v>86</v>
      </c>
    </row>
    <row r="49" spans="3:30" x14ac:dyDescent="0.2"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</row>
  </sheetData>
  <autoFilter ref="A17:AD29"/>
  <mergeCells count="38">
    <mergeCell ref="F43:J43"/>
    <mergeCell ref="L43:R43"/>
    <mergeCell ref="F44:J44"/>
    <mergeCell ref="L44:N44"/>
    <mergeCell ref="C49:AD49"/>
    <mergeCell ref="C29:M29"/>
    <mergeCell ref="F38:J38"/>
    <mergeCell ref="L38:R38"/>
    <mergeCell ref="F39:J39"/>
    <mergeCell ref="L39:N39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firstPageNumber="0"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Обоснование</vt:lpstr>
      <vt:lpstr>Обоснование!_FilterDatabase_0</vt:lpstr>
      <vt:lpstr>Обоснование!_FilterDatabase_0_0</vt:lpstr>
      <vt:lpstr>Обоснование!_FilterDatabase_0_0_0</vt:lpstr>
      <vt:lpstr>Обоснование!_FilterDatabase_0_0_0_0</vt:lpstr>
      <vt:lpstr>Обоснование!_ФильтрБазыДанных</vt:lpstr>
      <vt:lpstr>Обоснование!Print_Area_0</vt:lpstr>
      <vt:lpstr>Обоснование!Print_Area_0_0</vt:lpstr>
      <vt:lpstr>Обоснование!Print_Area_0_0_0</vt:lpstr>
      <vt:lpstr>Обоснование!Print_Area_0_0_0_0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Шляхова Инна Игоревна</cp:lastModifiedBy>
  <cp:revision>8</cp:revision>
  <cp:lastPrinted>2021-11-19T10:28:49Z</cp:lastPrinted>
  <dcterms:created xsi:type="dcterms:W3CDTF">1996-10-08T23:32:33Z</dcterms:created>
  <dcterms:modified xsi:type="dcterms:W3CDTF">2021-12-01T12:46:34Z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